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ILANCIO\BILANCIO 2024\CONTO CONSUNTIVO 2024\REVISORI\Revisori 2\"/>
    </mc:Choice>
  </mc:AlternateContent>
  <xr:revisionPtr revIDLastSave="0" documentId="8_{CCAE5A93-0977-46AB-9FF8-911C04592834}" xr6:coauthVersionLast="47" xr6:coauthVersionMax="47" xr10:uidLastSave="{00000000-0000-0000-0000-000000000000}"/>
  <bookViews>
    <workbookView xWindow="-120" yWindow="-120" windowWidth="29040" windowHeight="15840" xr2:uid="{F1065291-AC39-4863-B464-2BE81DFF55F2}"/>
  </bookViews>
  <sheets>
    <sheet name="Indici di bilancio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J23" i="1"/>
  <c r="J24" i="1"/>
  <c r="J16" i="1"/>
  <c r="J8" i="1"/>
  <c r="J9" i="1"/>
  <c r="I4" i="1"/>
  <c r="I24" i="1"/>
  <c r="J26" i="1"/>
  <c r="I26" i="1"/>
  <c r="I25" i="1"/>
  <c r="J22" i="1"/>
  <c r="I22" i="1"/>
  <c r="J21" i="1"/>
  <c r="I21" i="1"/>
  <c r="J20" i="1"/>
  <c r="I20" i="1"/>
  <c r="J19" i="1"/>
  <c r="I19" i="1"/>
  <c r="I18" i="1"/>
  <c r="J18" i="1"/>
  <c r="J17" i="1" l="1"/>
  <c r="I17" i="1"/>
  <c r="I16" i="1"/>
  <c r="J11" i="1"/>
  <c r="K11" i="1" s="1"/>
  <c r="I11" i="1"/>
  <c r="J10" i="1"/>
  <c r="K10" i="1" s="1"/>
  <c r="I10" i="1"/>
  <c r="I9" i="1"/>
  <c r="J7" i="1"/>
  <c r="J5" i="1"/>
  <c r="K5" i="1" s="1"/>
  <c r="J4" i="1"/>
  <c r="K4" i="1"/>
  <c r="J6" i="1"/>
  <c r="I6" i="1"/>
  <c r="K6" i="1" s="1"/>
  <c r="K26" i="1"/>
  <c r="K25" i="1"/>
  <c r="K24" i="1"/>
  <c r="K23" i="1"/>
  <c r="I23" i="1"/>
  <c r="K22" i="1"/>
  <c r="K21" i="1"/>
  <c r="K20" i="1"/>
  <c r="K19" i="1"/>
  <c r="K18" i="1"/>
  <c r="K8" i="1"/>
  <c r="K7" i="1"/>
  <c r="I7" i="1"/>
  <c r="I5" i="1"/>
  <c r="F26" i="1"/>
  <c r="F11" i="1"/>
  <c r="G11" i="1"/>
  <c r="D26" i="1"/>
  <c r="D11" i="1"/>
  <c r="G26" i="1"/>
  <c r="G16" i="1"/>
  <c r="G24" i="1"/>
  <c r="G23" i="1"/>
  <c r="G22" i="1"/>
  <c r="G21" i="1"/>
  <c r="H21" i="1" s="1"/>
  <c r="G20" i="1"/>
  <c r="G19" i="1"/>
  <c r="H19" i="1" s="1"/>
  <c r="G18" i="1"/>
  <c r="G17" i="1"/>
  <c r="H24" i="1"/>
  <c r="H18" i="1"/>
  <c r="F23" i="1"/>
  <c r="F24" i="1"/>
  <c r="F22" i="1"/>
  <c r="F21" i="1"/>
  <c r="F20" i="1"/>
  <c r="H20" i="1" s="1"/>
  <c r="F19" i="1"/>
  <c r="F18" i="1"/>
  <c r="F17" i="1"/>
  <c r="D24" i="1"/>
  <c r="E24" i="1" s="1"/>
  <c r="D23" i="1"/>
  <c r="D22" i="1"/>
  <c r="E22" i="1" s="1"/>
  <c r="D21" i="1"/>
  <c r="D20" i="1"/>
  <c r="E20" i="1" s="1"/>
  <c r="D19" i="1"/>
  <c r="D18" i="1"/>
  <c r="E18" i="1" s="1"/>
  <c r="C24" i="1"/>
  <c r="C23" i="1"/>
  <c r="E23" i="1" s="1"/>
  <c r="C22" i="1"/>
  <c r="C21" i="1"/>
  <c r="E21" i="1" s="1"/>
  <c r="C20" i="1"/>
  <c r="C19" i="1"/>
  <c r="E19" i="1" s="1"/>
  <c r="C18" i="1"/>
  <c r="C17" i="1"/>
  <c r="E17" i="1" s="1"/>
  <c r="G7" i="1"/>
  <c r="G6" i="1"/>
  <c r="G5" i="1"/>
  <c r="F7" i="1"/>
  <c r="F6" i="1"/>
  <c r="F5" i="1"/>
  <c r="D7" i="1"/>
  <c r="D6" i="1"/>
  <c r="C7" i="1"/>
  <c r="C6" i="1"/>
  <c r="D5" i="1"/>
  <c r="C5" i="1"/>
  <c r="F25" i="1"/>
  <c r="F16" i="1"/>
  <c r="C26" i="1"/>
  <c r="C25" i="1"/>
  <c r="E25" i="1" s="1"/>
  <c r="C16" i="1"/>
  <c r="E16" i="1" s="1"/>
  <c r="G25" i="1"/>
  <c r="F10" i="1"/>
  <c r="G9" i="1"/>
  <c r="F9" i="1"/>
  <c r="F8" i="1"/>
  <c r="F4" i="1"/>
  <c r="D9" i="1"/>
  <c r="C11" i="1"/>
  <c r="E11" i="1" s="1"/>
  <c r="C10" i="1"/>
  <c r="E10" i="1" s="1"/>
  <c r="C9" i="1"/>
  <c r="C8" i="1"/>
  <c r="E8" i="1" s="1"/>
  <c r="C4" i="1"/>
  <c r="E4" i="1" s="1"/>
  <c r="G10" i="1"/>
  <c r="G8" i="1"/>
  <c r="G4" i="1"/>
  <c r="H22" i="1" l="1"/>
  <c r="H23" i="1"/>
  <c r="K17" i="1"/>
  <c r="K16" i="1"/>
  <c r="K9" i="1"/>
  <c r="E26" i="1"/>
  <c r="H6" i="1"/>
  <c r="E6" i="1"/>
  <c r="H7" i="1"/>
  <c r="E7" i="1"/>
  <c r="E5" i="1"/>
  <c r="H10" i="1"/>
  <c r="H9" i="1"/>
  <c r="H5" i="1"/>
  <c r="E9" i="1"/>
  <c r="H4" i="1"/>
  <c r="H17" i="1"/>
  <c r="H11" i="1"/>
  <c r="H26" i="1"/>
  <c r="H16" i="1"/>
  <c r="H8" i="1"/>
  <c r="H25" i="1"/>
</calcChain>
</file>

<file path=xl/sharedStrings.xml><?xml version="1.0" encoding="utf-8"?>
<sst xmlns="http://schemas.openxmlformats.org/spreadsheetml/2006/main" count="63" uniqueCount="43">
  <si>
    <t>Indici di bilancio per le entrate</t>
  </si>
  <si>
    <t>Modalità di calcolo</t>
  </si>
  <si>
    <t>Valore 2022</t>
  </si>
  <si>
    <t>Dipendenza finanziaria</t>
  </si>
  <si>
    <t>Autonomia finanziaria</t>
  </si>
  <si>
    <t>Incidenza residui attivi</t>
  </si>
  <si>
    <t>Accumulo residui attivi</t>
  </si>
  <si>
    <t>Valore 2023</t>
  </si>
  <si>
    <t>Valore presunto programma annuale</t>
  </si>
  <si>
    <t>Valore effettivo conto consuntivo</t>
  </si>
  <si>
    <t>Scostamento</t>
  </si>
  <si>
    <t>Finanziamenti dello stato/totale entrate previste o accertate</t>
  </si>
  <si>
    <t>Enti + privati +altre entrate/totale entrate previste o accertate</t>
  </si>
  <si>
    <t>Indice avanzo di amministrazione</t>
  </si>
  <si>
    <t>Avanzo di amministrazione/totale entrate previste o accertate</t>
  </si>
  <si>
    <t>Indici di bilancio per le spese</t>
  </si>
  <si>
    <t>Spese per attività didattica</t>
  </si>
  <si>
    <t>Incidenza residui passivi</t>
  </si>
  <si>
    <t>Accumulo residui passivi</t>
  </si>
  <si>
    <t>Spese programmate o impegnate A03+  progetti/totale spese programmate o impegnate</t>
  </si>
  <si>
    <t>Spese programmate o impegnate A02/totale spese programmate o impegnate</t>
  </si>
  <si>
    <t>Residui dell'esercizio/totale spese programmate o impegnate</t>
  </si>
  <si>
    <t>Finanziamenti Europei/totale entrate previste o accertate</t>
  </si>
  <si>
    <t>Finanziamenti Enti Locali/totale entrate previste o accertate</t>
  </si>
  <si>
    <t>Finanziamenti Privati/totale entrate previste o accertate</t>
  </si>
  <si>
    <t>Spese programmate o impegnate per beni di invesimento/totale spese programmate o impegnate</t>
  </si>
  <si>
    <t>Spese per beni di investimento</t>
  </si>
  <si>
    <t>Spese per beni di consumo</t>
  </si>
  <si>
    <t>Spese programmate o impegnate per beni di consumo/totale spese programmate o impegnate</t>
  </si>
  <si>
    <t>Spese per servizi e utilizzo di beni terzi</t>
  </si>
  <si>
    <t>Altre spese</t>
  </si>
  <si>
    <t>Spese programmate o impegnate per altre spese/totale spese programmate o impegnate</t>
  </si>
  <si>
    <t>Spese programmate o impegnate per servizi ed utilizzo di beni terzi/totale spese programmate o impegnate</t>
  </si>
  <si>
    <t>Imposte e tasse</t>
  </si>
  <si>
    <t>Spese programmate o impegnate per imposte e tasse/totale spese programmate o impegnate</t>
  </si>
  <si>
    <t>Rimborsi e poste correttive</t>
  </si>
  <si>
    <t>Spese programmate o impegnate per Rimborsi e poste correttive/totale spese programmate o impegnate</t>
  </si>
  <si>
    <t>Spese di personale</t>
  </si>
  <si>
    <t>Spese programmate o impegnate per spese di personale/totale spese programmate o impegnate</t>
  </si>
  <si>
    <t>Totale residui attivi a inizio anno o a fine anno/totale entrate programmate o accertate + residui attivi anni precedenti</t>
  </si>
  <si>
    <t>Totale residui passivi a inizio anno o a fine anno/totale spese programmate o accertate + residui passivi esercizi precedenti</t>
  </si>
  <si>
    <t>Valore 2024</t>
  </si>
  <si>
    <t>Residui dell'esercizio (31/12)/entrate previste o accertate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</si>
</sst>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8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DB4F9-59B3-426F-BDBD-EF987C80B9B3}">
  <dimension ref="A1:K26"/>
  <sheetViews>
    <sheetView tabSelected="1" workbookViewId="0">
      <selection activeCell="R9" sqref="R9"/>
    </sheetView>
  </sheetViews>
  <sheetFormatPr defaultRowHeight="15" x14ac:dyDescent="0.25"/>
  <cols>
    <col min="1" max="1" width="19.140625" customWidth="1"/>
    <col min="2" max="2" width="24.28515625" customWidth="1"/>
    <col min="3" max="3" width="12" customWidth="1"/>
    <col min="4" max="4" width="11.85546875" customWidth="1"/>
    <col min="5" max="5" width="13.140625" customWidth="1"/>
    <col min="6" max="6" width="11.85546875" customWidth="1"/>
    <col min="7" max="7" width="11.42578125" customWidth="1"/>
    <col min="8" max="8" width="13" customWidth="1"/>
    <col min="9" max="9" width="11.85546875" customWidth="1"/>
    <col min="10" max="10" width="11.42578125" customWidth="1"/>
    <col min="11" max="11" width="13" customWidth="1"/>
  </cols>
  <sheetData>
    <row r="1" spans="1:11" ht="18.75" customHeight="1" x14ac:dyDescent="0.25">
      <c r="A1" s="17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x14ac:dyDescent="0.25">
      <c r="A2" s="1"/>
      <c r="B2" s="2" t="s">
        <v>1</v>
      </c>
      <c r="C2" s="11" t="s">
        <v>2</v>
      </c>
      <c r="D2" s="11"/>
      <c r="E2" s="11"/>
      <c r="F2" s="11" t="s">
        <v>7</v>
      </c>
      <c r="G2" s="11"/>
      <c r="H2" s="11"/>
      <c r="I2" s="11" t="s">
        <v>41</v>
      </c>
      <c r="J2" s="11"/>
      <c r="K2" s="11"/>
    </row>
    <row r="3" spans="1:11" ht="42" x14ac:dyDescent="0.25">
      <c r="A3" s="1"/>
      <c r="B3" s="2"/>
      <c r="C3" s="3" t="s">
        <v>8</v>
      </c>
      <c r="D3" s="3" t="s">
        <v>9</v>
      </c>
      <c r="E3" s="3" t="s">
        <v>10</v>
      </c>
      <c r="F3" s="3" t="s">
        <v>8</v>
      </c>
      <c r="G3" s="3" t="s">
        <v>9</v>
      </c>
      <c r="H3" s="3" t="s">
        <v>10</v>
      </c>
      <c r="I3" s="3" t="s">
        <v>8</v>
      </c>
      <c r="J3" s="3" t="s">
        <v>9</v>
      </c>
      <c r="K3" s="3" t="s">
        <v>10</v>
      </c>
    </row>
    <row r="4" spans="1:11" ht="38.25" x14ac:dyDescent="0.25">
      <c r="A4" s="4" t="s">
        <v>3</v>
      </c>
      <c r="B4" s="8" t="s">
        <v>11</v>
      </c>
      <c r="C4" s="6">
        <f>8905.67/276586.79</f>
        <v>3.2198464720603615E-2</v>
      </c>
      <c r="D4" s="5">
        <v>0.17</v>
      </c>
      <c r="E4" s="5">
        <f t="shared" ref="E4:E11" si="0">D4-C4</f>
        <v>0.1378015352793964</v>
      </c>
      <c r="F4" s="6">
        <f>14485.83/177296.37</f>
        <v>8.1704041656352019E-2</v>
      </c>
      <c r="G4" s="6">
        <f>35046.24/235938.81</f>
        <v>0.14853953022819771</v>
      </c>
      <c r="H4" s="6">
        <f t="shared" ref="H4:H11" si="1">G4-F4</f>
        <v>6.6835488571845694E-2</v>
      </c>
      <c r="I4" s="6">
        <f>16910.67/87377.62</f>
        <v>0.19353548425786832</v>
      </c>
      <c r="J4" s="6">
        <f>24553.33/262367.43</f>
        <v>9.358375770956022E-2</v>
      </c>
      <c r="K4" s="6">
        <f>J4-I4</f>
        <v>-9.9951726548308098E-2</v>
      </c>
    </row>
    <row r="5" spans="1:11" ht="38.25" x14ac:dyDescent="0.25">
      <c r="A5" s="12" t="s">
        <v>4</v>
      </c>
      <c r="B5" s="8" t="s">
        <v>22</v>
      </c>
      <c r="C5" s="6">
        <f>88660.29/276586.79</f>
        <v>0.32055142619067239</v>
      </c>
      <c r="D5" s="5">
        <f>77000/161228.52</f>
        <v>0.47758299834297308</v>
      </c>
      <c r="E5" s="5">
        <f t="shared" si="0"/>
        <v>0.15703157215230068</v>
      </c>
      <c r="F5" s="6">
        <f>0/177296.37</f>
        <v>0</v>
      </c>
      <c r="G5" s="6">
        <f>112729.83/235938.81</f>
        <v>0.47779265310357377</v>
      </c>
      <c r="H5" s="6">
        <f t="shared" si="1"/>
        <v>0.47779265310357377</v>
      </c>
      <c r="I5" s="6">
        <f>0/177296.37</f>
        <v>0</v>
      </c>
      <c r="J5" s="6">
        <f>161495.41/262367.43</f>
        <v>0.61553147050302703</v>
      </c>
      <c r="K5" s="6">
        <f>J5-I5</f>
        <v>0.61553147050302703</v>
      </c>
    </row>
    <row r="6" spans="1:11" ht="38.25" x14ac:dyDescent="0.25">
      <c r="A6" s="13"/>
      <c r="B6" s="8" t="s">
        <v>23</v>
      </c>
      <c r="C6" s="6">
        <f>34660.92/276586.79</f>
        <v>0.12531661400025648</v>
      </c>
      <c r="D6" s="5">
        <f>45100.77/161228.52</f>
        <v>0.27973196057372479</v>
      </c>
      <c r="E6" s="5">
        <f t="shared" si="0"/>
        <v>0.15441534657346831</v>
      </c>
      <c r="F6" s="6">
        <f>34879.25/177296.37</f>
        <v>0.19672850606021997</v>
      </c>
      <c r="G6" s="6">
        <f>55023.52/235938.81</f>
        <v>0.23321097533720711</v>
      </c>
      <c r="H6" s="6">
        <f t="shared" si="1"/>
        <v>3.6482469276987145E-2</v>
      </c>
      <c r="I6" s="6">
        <f>27212.96/87377.62</f>
        <v>0.31144084721007509</v>
      </c>
      <c r="J6" s="6">
        <f>39775.24/262367.43</f>
        <v>0.1516012867908185</v>
      </c>
      <c r="K6" s="6">
        <f t="shared" ref="K6:K11" si="2">J6-I6</f>
        <v>-0.15983956041925659</v>
      </c>
    </row>
    <row r="7" spans="1:11" ht="38.25" x14ac:dyDescent="0.25">
      <c r="A7" s="13"/>
      <c r="B7" s="8" t="s">
        <v>24</v>
      </c>
      <c r="C7" s="6">
        <f>0/276586.79</f>
        <v>0</v>
      </c>
      <c r="D7" s="5">
        <f>12218.94/161228.52</f>
        <v>7.5786467555492051E-2</v>
      </c>
      <c r="E7" s="5">
        <f t="shared" si="0"/>
        <v>7.5786467555492051E-2</v>
      </c>
      <c r="F7" s="6">
        <f>0/177296.37</f>
        <v>0</v>
      </c>
      <c r="G7" s="6">
        <f>33057.41/235938.81</f>
        <v>0.14011009888538475</v>
      </c>
      <c r="H7" s="6">
        <f t="shared" si="1"/>
        <v>0.14011009888538475</v>
      </c>
      <c r="I7" s="6">
        <f>0/177296.37</f>
        <v>0</v>
      </c>
      <c r="J7" s="6">
        <f>36543.45/262367.43</f>
        <v>0.13928348499659426</v>
      </c>
      <c r="K7" s="6">
        <f t="shared" si="2"/>
        <v>0.13928348499659426</v>
      </c>
    </row>
    <row r="8" spans="1:11" ht="38.25" x14ac:dyDescent="0.25">
      <c r="A8" s="14"/>
      <c r="B8" s="8" t="s">
        <v>12</v>
      </c>
      <c r="C8" s="6">
        <f>(88660.29+34660.92+0.01)/276586.79</f>
        <v>0.4458680763459455</v>
      </c>
      <c r="D8" s="5">
        <v>0.83</v>
      </c>
      <c r="E8" s="5">
        <f t="shared" si="0"/>
        <v>0.38413192365405446</v>
      </c>
      <c r="F8" s="6">
        <f>(34879.25+0.08)/177296.37</f>
        <v>0.19672895728209214</v>
      </c>
      <c r="G8" s="6">
        <f>(112729.83+55023.52+33057.41+6.73+75.08)/235938.81</f>
        <v>0.85146046977180234</v>
      </c>
      <c r="H8" s="6">
        <f t="shared" si="1"/>
        <v>0.65473151248971018</v>
      </c>
      <c r="I8" s="6">
        <v>0</v>
      </c>
      <c r="J8" s="6">
        <f>(237814.1+ 120)/262367.43</f>
        <v>0.90687361613444173</v>
      </c>
      <c r="K8" s="6">
        <f t="shared" si="2"/>
        <v>0.90687361613444173</v>
      </c>
    </row>
    <row r="9" spans="1:11" ht="60" x14ac:dyDescent="0.25">
      <c r="A9" s="4" t="s">
        <v>13</v>
      </c>
      <c r="B9" s="9" t="s">
        <v>14</v>
      </c>
      <c r="C9" s="6">
        <f>144359.9/276586.79</f>
        <v>0.52193345893345089</v>
      </c>
      <c r="D9" s="5">
        <f>144359.9/161228.52</f>
        <v>0.89537446600638648</v>
      </c>
      <c r="E9" s="5">
        <f t="shared" si="0"/>
        <v>0.37344100707293559</v>
      </c>
      <c r="F9" s="6">
        <f>127931.21/177296.37</f>
        <v>0.72156700106155591</v>
      </c>
      <c r="G9" s="6">
        <f>127931.21/235938.81</f>
        <v>0.54222198543766498</v>
      </c>
      <c r="H9" s="6">
        <f t="shared" si="1"/>
        <v>-0.17934501562389094</v>
      </c>
      <c r="I9" s="6">
        <f>43253.99/87377.62</f>
        <v>0.49502366853205659</v>
      </c>
      <c r="J9" s="6">
        <f>47744.2/262367.43</f>
        <v>0.18197456902329684</v>
      </c>
      <c r="K9" s="6">
        <f t="shared" si="2"/>
        <v>-0.31304909950875975</v>
      </c>
    </row>
    <row r="10" spans="1:11" ht="38.25" x14ac:dyDescent="0.25">
      <c r="A10" s="7" t="s">
        <v>5</v>
      </c>
      <c r="B10" s="8" t="s">
        <v>42</v>
      </c>
      <c r="C10" s="6">
        <f>89922.05/276586.79</f>
        <v>0.32511332157258854</v>
      </c>
      <c r="D10" s="5">
        <v>0.47</v>
      </c>
      <c r="E10" s="5">
        <f t="shared" si="0"/>
        <v>0.14488667842741143</v>
      </c>
      <c r="F10" s="6">
        <f>76000/177296.37</f>
        <v>0.42866077855965129</v>
      </c>
      <c r="G10" s="6">
        <f>71548.14/235938.81</f>
        <v>0.3032487109687465</v>
      </c>
      <c r="H10" s="6">
        <f t="shared" si="1"/>
        <v>-0.12541206759090479</v>
      </c>
      <c r="I10" s="6">
        <f>71548/87377.62</f>
        <v>0.81883667694313489</v>
      </c>
      <c r="J10" s="6">
        <f>81348.49/262367.43</f>
        <v>0.31005559645875252</v>
      </c>
      <c r="K10" s="6">
        <f t="shared" si="2"/>
        <v>-0.50878108048438242</v>
      </c>
    </row>
    <row r="11" spans="1:11" ht="76.5" x14ac:dyDescent="0.25">
      <c r="A11" s="7" t="s">
        <v>6</v>
      </c>
      <c r="B11" s="8" t="s">
        <v>39</v>
      </c>
      <c r="C11" s="6">
        <f>89922.05/(276586.79+89922.05)</f>
        <v>0.24534756105746319</v>
      </c>
      <c r="D11" s="5">
        <f>85553.21/(161228.52+9553.21)</f>
        <v>0.50095059934104202</v>
      </c>
      <c r="E11" s="5">
        <f t="shared" si="0"/>
        <v>0.25560303828357883</v>
      </c>
      <c r="F11" s="6">
        <f>85553.21/(177296.37+85553.21)</f>
        <v>0.3254835332055695</v>
      </c>
      <c r="G11" s="6">
        <f>80548.14/(235938.81+9000)</f>
        <v>0.32885005034522702</v>
      </c>
      <c r="H11" s="6">
        <f t="shared" si="1"/>
        <v>3.3665171396575211E-3</v>
      </c>
      <c r="I11" s="6">
        <f>80548.14/(87377.62+80548.14)</f>
        <v>0.47966518061314711</v>
      </c>
      <c r="J11" s="6">
        <f>141810.91/(262367.43+60462.42)</f>
        <v>0.43927446610033122</v>
      </c>
      <c r="K11" s="6">
        <f t="shared" si="2"/>
        <v>-4.0390714512815895E-2</v>
      </c>
    </row>
    <row r="13" spans="1:11" ht="18.75" customHeight="1" x14ac:dyDescent="0.25">
      <c r="A13" s="15" t="s">
        <v>15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</row>
    <row r="14" spans="1:11" x14ac:dyDescent="0.25">
      <c r="A14" s="1"/>
      <c r="B14" s="2" t="s">
        <v>1</v>
      </c>
      <c r="C14" s="11" t="s">
        <v>2</v>
      </c>
      <c r="D14" s="11"/>
      <c r="E14" s="11"/>
      <c r="F14" s="11" t="s">
        <v>7</v>
      </c>
      <c r="G14" s="11"/>
      <c r="H14" s="11"/>
      <c r="I14" s="11" t="s">
        <v>41</v>
      </c>
      <c r="J14" s="11"/>
      <c r="K14" s="11"/>
    </row>
    <row r="15" spans="1:11" ht="42" x14ac:dyDescent="0.25">
      <c r="A15" s="1"/>
      <c r="B15" s="2"/>
      <c r="C15" s="3" t="s">
        <v>8</v>
      </c>
      <c r="D15" s="3" t="s">
        <v>9</v>
      </c>
      <c r="E15" s="3" t="s">
        <v>10</v>
      </c>
      <c r="F15" s="3" t="s">
        <v>8</v>
      </c>
      <c r="G15" s="3" t="s">
        <v>9</v>
      </c>
      <c r="H15" s="3" t="s">
        <v>10</v>
      </c>
      <c r="I15" s="3" t="s">
        <v>8</v>
      </c>
      <c r="J15" s="3" t="s">
        <v>9</v>
      </c>
      <c r="K15" s="3" t="s">
        <v>10</v>
      </c>
    </row>
    <row r="16" spans="1:11" ht="64.5" x14ac:dyDescent="0.25">
      <c r="A16" s="4" t="s">
        <v>16</v>
      </c>
      <c r="B16" s="10" t="s">
        <v>19</v>
      </c>
      <c r="C16" s="6">
        <f>(160733.84+58054.56)/263210.26</f>
        <v>0.83123051510226076</v>
      </c>
      <c r="D16" s="5">
        <v>0.66</v>
      </c>
      <c r="E16" s="5">
        <f>D16-C16</f>
        <v>-0.17123051510226073</v>
      </c>
      <c r="F16" s="6">
        <f>(83633.74+45286.91)/177203.19</f>
        <v>0.72753007437394335</v>
      </c>
      <c r="G16" s="6">
        <f>(186166.74+61763.59)/316026.34</f>
        <v>0.78452425832606221</v>
      </c>
      <c r="H16" s="6">
        <f>G16-F16</f>
        <v>5.699418395211886E-2</v>
      </c>
      <c r="I16" s="6">
        <f>(8306.53+30143.12)/87377.19</f>
        <v>0.44004218950048635</v>
      </c>
      <c r="J16" s="6">
        <f>(97229.43+29644.64)/176321.23</f>
        <v>0.71956207428906882</v>
      </c>
      <c r="K16" s="6">
        <f>J16-I16</f>
        <v>0.27951988478858247</v>
      </c>
    </row>
    <row r="17" spans="1:11" ht="51.75" x14ac:dyDescent="0.25">
      <c r="A17" s="4" t="s">
        <v>4</v>
      </c>
      <c r="B17" s="10" t="s">
        <v>20</v>
      </c>
      <c r="C17" s="6">
        <f>1516.17/263210.26</f>
        <v>5.7602997694694725E-3</v>
      </c>
      <c r="D17" s="5">
        <v>0.04</v>
      </c>
      <c r="E17" s="5">
        <f t="shared" ref="E17:E26" si="3">D17-C17</f>
        <v>3.423970023053053E-2</v>
      </c>
      <c r="F17" s="6">
        <f>17230.87/177203.19</f>
        <v>9.7237922184132228E-2</v>
      </c>
      <c r="G17" s="6">
        <f>5350.54/316026.34</f>
        <v>1.6930677360627595E-2</v>
      </c>
      <c r="H17" s="6">
        <f t="shared" ref="H17:H26" si="4">G17-F17</f>
        <v>-8.0307244823504625E-2</v>
      </c>
      <c r="I17" s="6">
        <f>17541.87/87377.19</f>
        <v>0.20076028995668091</v>
      </c>
      <c r="J17" s="6">
        <f>6655.84/176321.23</f>
        <v>3.7748375507589187E-2</v>
      </c>
      <c r="K17" s="6">
        <f t="shared" ref="K17:K26" si="5">J17-I17</f>
        <v>-0.16301191444909172</v>
      </c>
    </row>
    <row r="18" spans="1:11" ht="64.5" x14ac:dyDescent="0.25">
      <c r="A18" s="4" t="s">
        <v>37</v>
      </c>
      <c r="B18" s="10" t="s">
        <v>38</v>
      </c>
      <c r="C18" s="6">
        <f>7942.08/263210.26</f>
        <v>3.0173899756035346E-2</v>
      </c>
      <c r="D18" s="6">
        <f>9542.33/177657.21</f>
        <v>5.3712033415362091E-2</v>
      </c>
      <c r="E18" s="5">
        <f t="shared" si="3"/>
        <v>2.3538133659326745E-2</v>
      </c>
      <c r="F18" s="6">
        <f>4312.28/177203.19</f>
        <v>2.4335227825187569E-2</v>
      </c>
      <c r="G18" s="6">
        <f>5595.58/316026.34</f>
        <v>1.7706055767376858E-2</v>
      </c>
      <c r="H18" s="6">
        <f t="shared" si="4"/>
        <v>-6.6291720578107102E-3</v>
      </c>
      <c r="I18" s="6">
        <f>1236.16/87377.19</f>
        <v>1.4147399338431461E-2</v>
      </c>
      <c r="J18" s="6">
        <f>52500.74/176321.23</f>
        <v>0.29775620326605023</v>
      </c>
      <c r="K18" s="6">
        <f t="shared" si="5"/>
        <v>0.28360880392761878</v>
      </c>
    </row>
    <row r="19" spans="1:11" ht="64.5" x14ac:dyDescent="0.25">
      <c r="A19" s="4" t="s">
        <v>26</v>
      </c>
      <c r="B19" s="10" t="s">
        <v>25</v>
      </c>
      <c r="C19" s="6">
        <f>90144.18/263210.26</f>
        <v>0.34247973464256293</v>
      </c>
      <c r="D19" s="5">
        <f>9790.81/177657.21</f>
        <v>5.5110681970070338E-2</v>
      </c>
      <c r="E19" s="5">
        <f t="shared" si="3"/>
        <v>-0.28736905267249258</v>
      </c>
      <c r="F19" s="6">
        <f>102433.85/177203.19</f>
        <v>0.57805872456359286</v>
      </c>
      <c r="G19" s="6">
        <f>187250.31/316026.34</f>
        <v>0.59251488341130043</v>
      </c>
      <c r="H19" s="6">
        <f t="shared" si="4"/>
        <v>1.4456158847707568E-2</v>
      </c>
      <c r="I19" s="6">
        <f>23425.02/87377.19</f>
        <v>0.2680907912007699</v>
      </c>
      <c r="J19" s="6">
        <f>6138.84/176321.23</f>
        <v>3.4816227178088535E-2</v>
      </c>
      <c r="K19" s="6">
        <f t="shared" si="5"/>
        <v>-0.23327456402268137</v>
      </c>
    </row>
    <row r="20" spans="1:11" ht="64.5" x14ac:dyDescent="0.25">
      <c r="A20" s="4" t="s">
        <v>27</v>
      </c>
      <c r="B20" s="10" t="s">
        <v>28</v>
      </c>
      <c r="C20" s="6">
        <f>83977.13/263210.26</f>
        <v>0.31904960695681089</v>
      </c>
      <c r="D20" s="5">
        <f>88568.22/177657.21</f>
        <v>0.4985343403738019</v>
      </c>
      <c r="E20" s="5">
        <f t="shared" si="3"/>
        <v>0.179484733416991</v>
      </c>
      <c r="F20" s="6">
        <f>10882.27/177203.19</f>
        <v>6.1411253375291949E-2</v>
      </c>
      <c r="G20" s="6">
        <f>8734.02/316026.34</f>
        <v>2.7637000131065025E-2</v>
      </c>
      <c r="H20" s="6">
        <f t="shared" si="4"/>
        <v>-3.3774253244226921E-2</v>
      </c>
      <c r="I20" s="6">
        <f>9913.48/87377.19</f>
        <v>0.11345615486146898</v>
      </c>
      <c r="J20" s="6">
        <f>22399.16/176321.23</f>
        <v>0.12703609202363209</v>
      </c>
      <c r="K20" s="6">
        <f t="shared" si="5"/>
        <v>1.3579937162163103E-2</v>
      </c>
    </row>
    <row r="21" spans="1:11" ht="77.25" x14ac:dyDescent="0.25">
      <c r="A21" s="4" t="s">
        <v>29</v>
      </c>
      <c r="B21" s="10" t="s">
        <v>32</v>
      </c>
      <c r="C21" s="6">
        <f>75739.75/263210.26</f>
        <v>0.28775379044874616</v>
      </c>
      <c r="D21" s="5">
        <f>65579.46/177657.21</f>
        <v>0.36913480741929927</v>
      </c>
      <c r="E21" s="5">
        <f t="shared" si="3"/>
        <v>8.1381016970553111E-2</v>
      </c>
      <c r="F21" s="6">
        <f>55468.01/177203.19</f>
        <v>0.31301925208005565</v>
      </c>
      <c r="G21" s="6">
        <f>104783.69/316026.34</f>
        <v>0.33156631817461796</v>
      </c>
      <c r="H21" s="6">
        <f t="shared" si="4"/>
        <v>1.8547066094562303E-2</v>
      </c>
      <c r="I21" s="6">
        <f>46053.67/87377.19</f>
        <v>0.52706741885382213</v>
      </c>
      <c r="J21" s="6">
        <f>87593.7/176321.23</f>
        <v>0.49678476040576619</v>
      </c>
      <c r="K21" s="6">
        <f t="shared" si="5"/>
        <v>-3.0282658448055944E-2</v>
      </c>
    </row>
    <row r="22" spans="1:11" ht="64.5" x14ac:dyDescent="0.25">
      <c r="A22" s="4" t="s">
        <v>30</v>
      </c>
      <c r="B22" s="10" t="s">
        <v>31</v>
      </c>
      <c r="C22" s="6">
        <f>4790.24/263210.26</f>
        <v>1.819929055957013E-2</v>
      </c>
      <c r="D22" s="5">
        <f>3897.3/177657.21</f>
        <v>2.1937190165262646E-2</v>
      </c>
      <c r="E22" s="5">
        <f t="shared" si="3"/>
        <v>3.7378996056925164E-3</v>
      </c>
      <c r="F22" s="6">
        <f>3985.49/177203.19</f>
        <v>2.2491073665208847E-2</v>
      </c>
      <c r="G22" s="6">
        <f>9507.74/316026.34</f>
        <v>3.0085277068993676E-2</v>
      </c>
      <c r="H22" s="6">
        <f t="shared" si="4"/>
        <v>7.5942034037848292E-3</v>
      </c>
      <c r="I22" s="6">
        <f>6629.75/87377.19</f>
        <v>7.5875065334556985E-2</v>
      </c>
      <c r="J22" s="6">
        <f>7568.79/176321.23</f>
        <v>4.2926141111878584E-2</v>
      </c>
      <c r="K22" s="6">
        <f t="shared" si="5"/>
        <v>-3.2948924222678401E-2</v>
      </c>
    </row>
    <row r="23" spans="1:11" ht="64.5" x14ac:dyDescent="0.25">
      <c r="A23" s="4" t="s">
        <v>33</v>
      </c>
      <c r="B23" s="10" t="s">
        <v>34</v>
      </c>
      <c r="C23" s="6">
        <f>0/263210.26</f>
        <v>0</v>
      </c>
      <c r="D23" s="5">
        <f>0/177657.21</f>
        <v>0</v>
      </c>
      <c r="E23" s="5">
        <f t="shared" si="3"/>
        <v>0</v>
      </c>
      <c r="F23" s="6">
        <f>0/177203.19</f>
        <v>0</v>
      </c>
      <c r="G23" s="6">
        <f>0/316026.34</f>
        <v>0</v>
      </c>
      <c r="H23" s="6">
        <f t="shared" si="4"/>
        <v>0</v>
      </c>
      <c r="I23" s="6">
        <f>0/177203.19</f>
        <v>0</v>
      </c>
      <c r="J23" s="6">
        <f>0/176321.23</f>
        <v>0</v>
      </c>
      <c r="K23" s="6">
        <f t="shared" si="5"/>
        <v>0</v>
      </c>
    </row>
    <row r="24" spans="1:11" ht="77.25" x14ac:dyDescent="0.25">
      <c r="A24" s="4" t="s">
        <v>35</v>
      </c>
      <c r="B24" s="10" t="s">
        <v>36</v>
      </c>
      <c r="C24" s="6">
        <f>527.82/263210.26</f>
        <v>2.0053169659875721E-3</v>
      </c>
      <c r="D24" s="5">
        <f>279.09/177657.21</f>
        <v>1.5709466562038208E-3</v>
      </c>
      <c r="E24" s="5">
        <f t="shared" si="3"/>
        <v>-4.3437030978375128E-4</v>
      </c>
      <c r="F24" s="6">
        <f>0/177203.19</f>
        <v>0</v>
      </c>
      <c r="G24" s="6">
        <f>155/316026.34</f>
        <v>4.904654466459979E-4</v>
      </c>
      <c r="H24" s="6">
        <f t="shared" si="4"/>
        <v>4.904654466459979E-4</v>
      </c>
      <c r="I24" s="6">
        <f>0/87377.19</f>
        <v>0</v>
      </c>
      <c r="J24" s="6">
        <f>120/176321.23</f>
        <v>6.8057601458429027E-4</v>
      </c>
      <c r="K24" s="6">
        <f t="shared" si="5"/>
        <v>6.8057601458429027E-4</v>
      </c>
    </row>
    <row r="25" spans="1:11" ht="51.75" x14ac:dyDescent="0.25">
      <c r="A25" s="7" t="s">
        <v>17</v>
      </c>
      <c r="B25" s="10" t="s">
        <v>21</v>
      </c>
      <c r="C25" s="6">
        <f>6965.7/263210.26</f>
        <v>2.6464393903185991E-2</v>
      </c>
      <c r="D25" s="5">
        <v>0.04</v>
      </c>
      <c r="E25" s="5">
        <f t="shared" si="3"/>
        <v>1.353560609681401E-2</v>
      </c>
      <c r="F25" s="6">
        <f>7464.64/177203.19</f>
        <v>4.212474956009539E-2</v>
      </c>
      <c r="G25" s="6">
        <f>129915.23/316026.34</f>
        <v>0.41108987940688735</v>
      </c>
      <c r="H25" s="6">
        <f t="shared" si="4"/>
        <v>0.36896512984679197</v>
      </c>
      <c r="I25" s="6">
        <f>129915.23/87377.19</f>
        <v>1.4868323185948185</v>
      </c>
      <c r="J25" s="6">
        <f>76914.1/176321.23</f>
        <v>0.43621576369447967</v>
      </c>
      <c r="K25" s="6">
        <f t="shared" si="5"/>
        <v>-1.0506165549003388</v>
      </c>
    </row>
    <row r="26" spans="1:11" ht="90" x14ac:dyDescent="0.25">
      <c r="A26" s="7" t="s">
        <v>18</v>
      </c>
      <c r="B26" s="10" t="s">
        <v>40</v>
      </c>
      <c r="C26" s="6">
        <f>8105.7/(8105.7+263210.26)</f>
        <v>2.9875500136446079E-2</v>
      </c>
      <c r="D26" s="5">
        <f>7628.64/(177657.21+164)</f>
        <v>4.2900619110622408E-2</v>
      </c>
      <c r="E26" s="5">
        <f t="shared" si="3"/>
        <v>1.3025118974176329E-2</v>
      </c>
      <c r="F26" s="6">
        <f>7628.64/(7628.24+177203.19)</f>
        <v>4.1273499858763205E-2</v>
      </c>
      <c r="G26" s="6">
        <f>129915.23/(316026.34+0)</f>
        <v>0.41108987940688735</v>
      </c>
      <c r="H26" s="6">
        <f t="shared" si="4"/>
        <v>0.36981637954812413</v>
      </c>
      <c r="I26" s="6">
        <f>129915.23/(87377.19)</f>
        <v>1.4868323185948185</v>
      </c>
      <c r="J26" s="6">
        <f>84424.49/(176321.23+7510.39)</f>
        <v>0.45924901276505092</v>
      </c>
      <c r="K26" s="6">
        <f t="shared" si="5"/>
        <v>-1.0275833058297676</v>
      </c>
    </row>
  </sheetData>
  <mergeCells count="9">
    <mergeCell ref="I2:K2"/>
    <mergeCell ref="I14:K14"/>
    <mergeCell ref="C2:E2"/>
    <mergeCell ref="F2:H2"/>
    <mergeCell ref="C14:E14"/>
    <mergeCell ref="F14:H14"/>
    <mergeCell ref="A5:A8"/>
    <mergeCell ref="A13:K13"/>
    <mergeCell ref="A1:K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rowBreaks count="1" manualBreakCount="1">
    <brk id="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Indici di bilancio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Bresciani Lorena</dc:creator>
  <cp:lastModifiedBy>Bresciani Lorena</cp:lastModifiedBy>
  <cp:lastPrinted>2024-04-08T11:48:54Z</cp:lastPrinted>
  <dcterms:created xsi:type="dcterms:W3CDTF">2023-11-06T10:24:08Z</dcterms:created>
  <dcterms:modified xsi:type="dcterms:W3CDTF">2025-03-20T12:22:24Z</dcterms:modified>
</cp:coreProperties>
</file>